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<sst xmlns="http://schemas.openxmlformats.org/spreadsheetml/2006/main" count="171" uniqueCount="123">
  <si>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</si>
  <si>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</si>
  <si>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</si>
  <si>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</si>
  <si>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</si>
  <si>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</si>
  <si>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</si>
  <si>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</si>
  <si>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</si>
  <si>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</si>
  <si>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</si>
  <si>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</si>
  <si>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</si>
  <si>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</si>
  <si>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</si>
  <si>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</si>
  <si>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</si>
  <si>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</si>
  <si>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</si>
  <si>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</si>
  <si>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</si>
  <si>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</si>
  <si>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</si>
  <si>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</si>
  <si>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</si>
  <si>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</si>
  <si>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</si>
  <si>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</si>
  <si>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</si>
  <si>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</si>
  <si>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</si>
  <si>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</si>
  <si>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</si>
  <si>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</si>
  <si>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</si>
  <si>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</si>
  <si>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</si>
  <si>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</si>
  <si>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</si>
  <si>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</si>
  <si>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</si>
  <si>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</si>
  <si>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</si>
  <si>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</si>
  <si>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</si>
  <si>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</si>
  <si>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</si>
  <si>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</si>
  <si>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</si>
  <si>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</si>
  <si>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</si>
  <si>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</si>
  <si>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</si>
  <si>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</si>
  <si>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</si>
  <si>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</si>
  <si>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</si>
  <si>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</si>
  <si>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</si>
  <si>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</si>
  <si>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</si>
  <si>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</si>
  <si>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</si>
  <si>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</si>
  <si>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</si>
  <si>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</si>
  <si>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</si>
  <si>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</si>
  <si>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</si>
  <si>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</si>
  <si>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</si>
  <si>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</si>
  <si>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</si>
  <si>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</si>
  <si>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</si>
  <si>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</si>
  <si>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</si>
  <si>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</si>
  <si>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</si>
  <si>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</si>
  <si>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</si>
  <si>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</si>
  <si>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</si>
  <si>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</si>
  <si>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</si>
  <si>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</si>
  <si>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</si>
  <si>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</si>
  <si>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</si>
  <si>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</si>
  <si>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</si>
  <si>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</si>
  <si>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</si>
  <si>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</si>
  <si>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</si>
  <si>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</si>
  <si>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</si>
  <si>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</si>
  <si>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</si>
  <si>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</si>
  <si>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</si>
  <si>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</si>
  <si>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</si>
  <si>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</si>
  <si>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</si>
  <si>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</si>
  <si>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</si>
  <si>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</si>
  <si>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</si>
  <si>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</si>
  <si>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</si>
  <si>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</si>
  <si>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</si>
  <si>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</si>
  <si>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</si>
  <si>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</si>
  <si>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</si>
  <si>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</si>
  <si>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</si>
  <si>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Тимчасовий план на 2 місяці, тис.грн.</t>
  </si>
  <si>
    <t>Відсоток виконання тимчасового плану 2-х місяців</t>
  </si>
  <si>
    <t>Відхилення від тимчасового плану 2-х місяців, тис.грн.</t>
  </si>
  <si>
    <t>Аналіз використання коштів міського бюджету за 2016 рік станом на 09.02.2016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</si>
</sst>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0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49939118"/>
        <c:axId val="29527559"/>
      </c:bar3DChart>
      <c:catAx>
        <c:axId val="49939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27559"/>
        <c:crosses val="autoZero"/>
        <c:auto val="1"/>
        <c:lblOffset val="100"/>
        <c:tickLblSkip val="1"/>
        <c:noMultiLvlLbl val="0"/>
      </c:catAx>
      <c:valAx>
        <c:axId val="29527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391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21456756"/>
        <c:axId val="63466245"/>
      </c:bar3DChart>
      <c:catAx>
        <c:axId val="2145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66245"/>
        <c:crosses val="autoZero"/>
        <c:auto val="1"/>
        <c:lblOffset val="100"/>
        <c:tickLblSkip val="1"/>
        <c:noMultiLvlLbl val="0"/>
      </c:catAx>
      <c:valAx>
        <c:axId val="63466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567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8267786"/>
        <c:axId val="35539475"/>
      </c:bar3DChart>
      <c:catAx>
        <c:axId val="826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39475"/>
        <c:crosses val="autoZero"/>
        <c:auto val="1"/>
        <c:lblOffset val="100"/>
        <c:tickLblSkip val="1"/>
        <c:noMultiLvlLbl val="0"/>
      </c:catAx>
      <c:valAx>
        <c:axId val="35539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677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4543984"/>
        <c:axId val="39504561"/>
      </c:bar3DChart>
      <c:catAx>
        <c:axId val="4543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04561"/>
        <c:crosses val="autoZero"/>
        <c:auto val="1"/>
        <c:lblOffset val="100"/>
        <c:tickLblSkip val="1"/>
        <c:noMultiLvlLbl val="0"/>
      </c:catAx>
      <c:valAx>
        <c:axId val="39504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39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13366950"/>
        <c:axId val="37359711"/>
      </c:bar3DChart>
      <c:catAx>
        <c:axId val="1336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59711"/>
        <c:crosses val="autoZero"/>
        <c:auto val="1"/>
        <c:lblOffset val="100"/>
        <c:tickLblSkip val="2"/>
        <c:noMultiLvlLbl val="0"/>
      </c:catAx>
      <c:valAx>
        <c:axId val="37359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69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33907628"/>
        <c:axId val="52273821"/>
      </c:bar3DChart>
      <c:catAx>
        <c:axId val="33907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73821"/>
        <c:crosses val="autoZero"/>
        <c:auto val="1"/>
        <c:lblOffset val="100"/>
        <c:tickLblSkip val="1"/>
        <c:noMultiLvlLbl val="0"/>
      </c:catAx>
      <c:valAx>
        <c:axId val="52273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076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19049090"/>
        <c:axId val="2968811"/>
      </c:bar3DChart>
      <c:catAx>
        <c:axId val="1904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68811"/>
        <c:crosses val="autoZero"/>
        <c:auto val="1"/>
        <c:lblOffset val="100"/>
        <c:tickLblSkip val="1"/>
        <c:noMultiLvlLbl val="0"/>
      </c:catAx>
      <c:valAx>
        <c:axId val="2968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490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23129256"/>
        <c:axId val="17891017"/>
      </c:bar3DChart>
      <c:catAx>
        <c:axId val="2312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91017"/>
        <c:crosses val="autoZero"/>
        <c:auto val="1"/>
        <c:lblOffset val="100"/>
        <c:tickLblSkip val="1"/>
        <c:noMultiLvlLbl val="0"/>
      </c:catAx>
      <c:valAx>
        <c:axId val="17891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292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8699806"/>
        <c:axId val="58436535"/>
      </c:bar3DChart>
      <c:catAx>
        <c:axId val="869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36535"/>
        <c:crosses val="autoZero"/>
        <c:auto val="1"/>
        <c:lblOffset val="100"/>
        <c:tickLblSkip val="1"/>
        <c:noMultiLvlLbl val="0"/>
      </c:catAx>
      <c:valAx>
        <c:axId val="58436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998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3" t="s">
        <v>122</v>
      </c>
      <c r="B1" s="133"/>
      <c r="C1" s="133"/>
      <c r="D1" s="133"/>
      <c r="E1" s="133"/>
      <c r="F1" s="133"/>
      <c r="G1" s="133"/>
      <c r="H1" s="133"/>
      <c r="I1" s="133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7" t="s">
        <v>49</v>
      </c>
      <c r="B3" s="134" t="s">
        <v>119</v>
      </c>
      <c r="C3" s="134" t="s">
        <v>116</v>
      </c>
      <c r="D3" s="134" t="s">
        <v>28</v>
      </c>
      <c r="E3" s="134" t="s">
        <v>27</v>
      </c>
      <c r="F3" s="134" t="s">
        <v>120</v>
      </c>
      <c r="G3" s="134" t="s">
        <v>117</v>
      </c>
      <c r="H3" s="134" t="s">
        <v>121</v>
      </c>
      <c r="I3" s="134" t="s">
        <v>118</v>
      </c>
    </row>
    <row r="4" spans="1:9" ht="24.75" customHeight="1">
      <c r="A4" s="138"/>
      <c r="B4" s="135"/>
      <c r="C4" s="135"/>
      <c r="D4" s="135"/>
      <c r="E4" s="135"/>
      <c r="F4" s="135"/>
      <c r="G4" s="135"/>
      <c r="H4" s="135"/>
      <c r="I4" s="135"/>
    </row>
    <row r="5" spans="1:9" ht="39" customHeight="1" thickBot="1">
      <c r="A5" s="139"/>
      <c r="B5" s="136"/>
      <c r="C5" s="136"/>
      <c r="D5" s="136"/>
      <c r="E5" s="136"/>
      <c r="F5" s="136"/>
      <c r="G5" s="136"/>
      <c r="H5" s="136"/>
      <c r="I5" s="136"/>
    </row>
    <row r="6" spans="1:9" ht="18.75" thickBot="1">
      <c r="A6" s="25" t="s">
        <v>33</v>
      </c>
      <c r="B6" s="49">
        <v>57951.5</v>
      </c>
      <c r="C6" s="50">
        <f>91233.3-4306</f>
        <v>86927.3</v>
      </c>
      <c r="D6" s="51">
        <f>3665.2+5419.3+785.5+220.1+4705.1+6727.5+675.5+217.6+0.2+117.8+63.8+2988.6+54.7</f>
        <v>25640.899999999998</v>
      </c>
      <c r="E6" s="3">
        <f>D6/D149*100</f>
        <v>39.7490194862573</v>
      </c>
      <c r="F6" s="3">
        <f>D6/B6*100</f>
        <v>44.24544662346962</v>
      </c>
      <c r="G6" s="3">
        <f aca="true" t="shared" si="0" ref="G6:G43">D6/C6*100</f>
        <v>29.496947449190298</v>
      </c>
      <c r="H6" s="51">
        <f>B6-D6</f>
        <v>32310.600000000002</v>
      </c>
      <c r="I6" s="51">
        <f aca="true" t="shared" si="1" ref="I6:I43">C6-D6</f>
        <v>61286.40000000001</v>
      </c>
    </row>
    <row r="7" spans="1:9" s="41" customFormat="1" ht="18.75">
      <c r="A7" s="112" t="s">
        <v>102</v>
      </c>
      <c r="B7" s="105">
        <v>27200.6</v>
      </c>
      <c r="C7" s="102">
        <f>45106.9-4306</f>
        <v>40800.9</v>
      </c>
      <c r="D7" s="113">
        <f>5419.3+86.3+97.4+56.7+6727.5+560.1+2.9+0.2+1.9+63.8+1046.3</f>
        <v>14062.4</v>
      </c>
      <c r="E7" s="103">
        <f>D7/D6*100</f>
        <v>54.843628733780804</v>
      </c>
      <c r="F7" s="103">
        <f>D7/B7*100</f>
        <v>51.69885958397976</v>
      </c>
      <c r="G7" s="103">
        <f>D7/C7*100</f>
        <v>34.46590638931984</v>
      </c>
      <c r="H7" s="113">
        <f>B7-D7</f>
        <v>13138.199999999999</v>
      </c>
      <c r="I7" s="113">
        <f t="shared" si="1"/>
        <v>26738.5</v>
      </c>
    </row>
    <row r="8" spans="1:9" ht="18">
      <c r="A8" s="26" t="s">
        <v>3</v>
      </c>
      <c r="B8" s="46">
        <v>36686.2</v>
      </c>
      <c r="C8" s="47">
        <v>56790.4</v>
      </c>
      <c r="D8" s="48">
        <f>3665.2+5419.3+4645.9+6727.5+3.3</f>
        <v>20461.2</v>
      </c>
      <c r="E8" s="1">
        <f>D8/D6*100</f>
        <v>79.79907101544799</v>
      </c>
      <c r="F8" s="1">
        <f>D8/B8*100</f>
        <v>55.773560630427795</v>
      </c>
      <c r="G8" s="1">
        <f t="shared" si="0"/>
        <v>36.029328900659266</v>
      </c>
      <c r="H8" s="48">
        <f>B8-D8</f>
        <v>16224.999999999996</v>
      </c>
      <c r="I8" s="48">
        <f t="shared" si="1"/>
        <v>36329.2</v>
      </c>
    </row>
    <row r="9" spans="1:9" ht="18">
      <c r="A9" s="26" t="s">
        <v>2</v>
      </c>
      <c r="B9" s="46">
        <v>1</v>
      </c>
      <c r="C9" s="47">
        <v>2</v>
      </c>
      <c r="D9" s="48"/>
      <c r="E9" s="12">
        <f>D9/D6*100</f>
        <v>0</v>
      </c>
      <c r="F9" s="128">
        <f>D9/B9*100</f>
        <v>0</v>
      </c>
      <c r="G9" s="1">
        <f t="shared" si="0"/>
        <v>0</v>
      </c>
      <c r="H9" s="48">
        <f aca="true" t="shared" si="2" ref="H9:H43">B9-D9</f>
        <v>1</v>
      </c>
      <c r="I9" s="48">
        <f t="shared" si="1"/>
        <v>2</v>
      </c>
    </row>
    <row r="10" spans="1:9" ht="18">
      <c r="A10" s="26" t="s">
        <v>1</v>
      </c>
      <c r="B10" s="46">
        <v>2736.2</v>
      </c>
      <c r="C10" s="47">
        <v>4186.1</v>
      </c>
      <c r="D10" s="52">
        <f>345.3+106.4+54.5+56.4+92.4+115.9+196.4+52.1</f>
        <v>1019.4</v>
      </c>
      <c r="E10" s="1">
        <f>D10/D6*100</f>
        <v>3.975679480829456</v>
      </c>
      <c r="F10" s="1">
        <f aca="true" t="shared" si="3" ref="F10:F41">D10/B10*100</f>
        <v>37.25604853446386</v>
      </c>
      <c r="G10" s="1">
        <f t="shared" si="0"/>
        <v>24.35202216860562</v>
      </c>
      <c r="H10" s="48">
        <f t="shared" si="2"/>
        <v>1716.7999999999997</v>
      </c>
      <c r="I10" s="48">
        <f t="shared" si="1"/>
        <v>3166.7000000000003</v>
      </c>
    </row>
    <row r="11" spans="1:9" ht="18">
      <c r="A11" s="26" t="s">
        <v>0</v>
      </c>
      <c r="B11" s="46">
        <v>18239.2</v>
      </c>
      <c r="C11" s="47">
        <f>29821.3-4306</f>
        <v>25515.3</v>
      </c>
      <c r="D11" s="53">
        <f>435.2+111+615.5+123.2+0.2+1.9+63.8+2790+1.3</f>
        <v>4142.1</v>
      </c>
      <c r="E11" s="1">
        <f>D11/D6*100</f>
        <v>16.154269155918865</v>
      </c>
      <c r="F11" s="1">
        <f t="shared" si="3"/>
        <v>22.70987762621168</v>
      </c>
      <c r="G11" s="1">
        <f t="shared" si="0"/>
        <v>16.23378913828174</v>
      </c>
      <c r="H11" s="48">
        <f t="shared" si="2"/>
        <v>14097.1</v>
      </c>
      <c r="I11" s="48">
        <f t="shared" si="1"/>
        <v>21373.199999999997</v>
      </c>
    </row>
    <row r="12" spans="1:9" ht="18">
      <c r="A12" s="26" t="s">
        <v>15</v>
      </c>
      <c r="B12" s="46">
        <v>26.5</v>
      </c>
      <c r="C12" s="47">
        <v>40.6</v>
      </c>
      <c r="D12" s="48">
        <f>5</f>
        <v>5</v>
      </c>
      <c r="E12" s="1">
        <f>D12/D6*100</f>
        <v>0.0195000955504682</v>
      </c>
      <c r="F12" s="1">
        <f t="shared" si="3"/>
        <v>18.867924528301888</v>
      </c>
      <c r="G12" s="1">
        <f t="shared" si="0"/>
        <v>12.31527093596059</v>
      </c>
      <c r="H12" s="48">
        <f t="shared" si="2"/>
        <v>21.5</v>
      </c>
      <c r="I12" s="48">
        <f t="shared" si="1"/>
        <v>35.6</v>
      </c>
    </row>
    <row r="13" spans="1:9" ht="18.75" thickBot="1">
      <c r="A13" s="26" t="s">
        <v>34</v>
      </c>
      <c r="B13" s="47">
        <f>B6-B8-B9-B10-B11-B12</f>
        <v>262.40000000000146</v>
      </c>
      <c r="C13" s="47">
        <f>C6-C8-C9-C10-C11-C12</f>
        <v>392.9000000000036</v>
      </c>
      <c r="D13" s="47">
        <f>D6-D8-D9-D10-D11-D12</f>
        <v>13.19999999999709</v>
      </c>
      <c r="E13" s="1">
        <f>D13/D6*100</f>
        <v>0.051480252253224695</v>
      </c>
      <c r="F13" s="1">
        <f t="shared" si="3"/>
        <v>5.030487804876912</v>
      </c>
      <c r="G13" s="1">
        <f t="shared" si="0"/>
        <v>3.359633494527098</v>
      </c>
      <c r="H13" s="48">
        <f t="shared" si="2"/>
        <v>249.20000000000437</v>
      </c>
      <c r="I13" s="48">
        <f t="shared" si="1"/>
        <v>379.7000000000065</v>
      </c>
    </row>
    <row r="14" spans="1:9" s="41" customFormat="1" ht="18.75" customHeight="1" hidden="1">
      <c r="A14" s="104" t="s">
        <v>81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78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79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80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37173.3</v>
      </c>
      <c r="C18" s="50">
        <f>61210.6-5450.6</f>
        <v>55760</v>
      </c>
      <c r="D18" s="51">
        <f>5722.2+538+9070.5+238.7+827+135.9+565.7+282.3+195.5</f>
        <v>17575.800000000003</v>
      </c>
      <c r="E18" s="3">
        <f>D18/D149*100</f>
        <v>27.24634535786814</v>
      </c>
      <c r="F18" s="3">
        <f>D18/B18*100</f>
        <v>47.28070954152578</v>
      </c>
      <c r="G18" s="3">
        <f t="shared" si="0"/>
        <v>31.520444763271165</v>
      </c>
      <c r="H18" s="51">
        <f>B18-D18</f>
        <v>19597.5</v>
      </c>
      <c r="I18" s="51">
        <f t="shared" si="1"/>
        <v>38184.2</v>
      </c>
    </row>
    <row r="19" spans="1:9" s="41" customFormat="1" ht="18.75">
      <c r="A19" s="112" t="s">
        <v>103</v>
      </c>
      <c r="B19" s="105">
        <v>28427</v>
      </c>
      <c r="C19" s="102">
        <f>48091.1-5450.6</f>
        <v>42640.5</v>
      </c>
      <c r="D19" s="113">
        <f>5722.2+537+5375.9+205.8+772.6+85.2+565.7+282.3+110.6</f>
        <v>13657.3</v>
      </c>
      <c r="E19" s="103">
        <f>D19/D18*100</f>
        <v>77.7051400220758</v>
      </c>
      <c r="F19" s="103">
        <f t="shared" si="3"/>
        <v>48.04340943469237</v>
      </c>
      <c r="G19" s="103">
        <f t="shared" si="0"/>
        <v>32.028939623128245</v>
      </c>
      <c r="H19" s="113">
        <f t="shared" si="2"/>
        <v>14769.7</v>
      </c>
      <c r="I19" s="113">
        <f t="shared" si="1"/>
        <v>28983.2</v>
      </c>
    </row>
    <row r="20" spans="1:9" ht="18">
      <c r="A20" s="26" t="s">
        <v>5</v>
      </c>
      <c r="B20" s="46">
        <v>29972.4</v>
      </c>
      <c r="C20" s="47">
        <f>48963.2-5450.6</f>
        <v>43512.6</v>
      </c>
      <c r="D20" s="48">
        <f>5722.2+1+8655.9+32.9+2.4</f>
        <v>14414.399999999998</v>
      </c>
      <c r="E20" s="1">
        <f>D20/D18*100</f>
        <v>82.01276755538863</v>
      </c>
      <c r="F20" s="1">
        <f t="shared" si="3"/>
        <v>48.092244865276044</v>
      </c>
      <c r="G20" s="1">
        <f t="shared" si="0"/>
        <v>33.12695632989065</v>
      </c>
      <c r="H20" s="48">
        <f t="shared" si="2"/>
        <v>15558.000000000004</v>
      </c>
      <c r="I20" s="48">
        <f t="shared" si="1"/>
        <v>29098.2</v>
      </c>
    </row>
    <row r="21" spans="1:9" ht="18">
      <c r="A21" s="26" t="s">
        <v>2</v>
      </c>
      <c r="B21" s="46">
        <v>2041.7</v>
      </c>
      <c r="C21" s="47">
        <v>3450.6</v>
      </c>
      <c r="D21" s="48">
        <f>80.5+183.6+169.4+194.4+100+1.7+148.4</f>
        <v>878</v>
      </c>
      <c r="E21" s="1">
        <f>D21/D18*100</f>
        <v>4.99550518326335</v>
      </c>
      <c r="F21" s="1">
        <f t="shared" si="3"/>
        <v>43.003379536660624</v>
      </c>
      <c r="G21" s="1">
        <f t="shared" si="0"/>
        <v>25.444850170984758</v>
      </c>
      <c r="H21" s="48">
        <f t="shared" si="2"/>
        <v>1163.7</v>
      </c>
      <c r="I21" s="48">
        <f t="shared" si="1"/>
        <v>2572.6</v>
      </c>
    </row>
    <row r="22" spans="1:9" ht="18">
      <c r="A22" s="26" t="s">
        <v>1</v>
      </c>
      <c r="B22" s="46">
        <v>573.6</v>
      </c>
      <c r="C22" s="47">
        <v>874.5</v>
      </c>
      <c r="D22" s="48">
        <f>127.7+23.6+33.5+86.7+19.5+2.9</f>
        <v>293.9</v>
      </c>
      <c r="E22" s="1">
        <f>D22/D18*100</f>
        <v>1.672185618862299</v>
      </c>
      <c r="F22" s="1">
        <f t="shared" si="3"/>
        <v>51.23779637377963</v>
      </c>
      <c r="G22" s="1">
        <f t="shared" si="0"/>
        <v>33.60777587192681</v>
      </c>
      <c r="H22" s="48">
        <f t="shared" si="2"/>
        <v>279.70000000000005</v>
      </c>
      <c r="I22" s="48">
        <f t="shared" si="1"/>
        <v>580.6</v>
      </c>
    </row>
    <row r="23" spans="1:9" ht="18">
      <c r="A23" s="26" t="s">
        <v>0</v>
      </c>
      <c r="B23" s="46">
        <v>3566.6</v>
      </c>
      <c r="C23" s="47">
        <v>6334.3</v>
      </c>
      <c r="D23" s="48">
        <f>230.7+158.8+520.8+110.9+465.7+246.3+3.9</f>
        <v>1737.1</v>
      </c>
      <c r="E23" s="1">
        <f>D23/D18*100</f>
        <v>9.883476143333445</v>
      </c>
      <c r="F23" s="1">
        <f t="shared" si="3"/>
        <v>48.70464868502215</v>
      </c>
      <c r="G23" s="1">
        <f t="shared" si="0"/>
        <v>27.42370901283488</v>
      </c>
      <c r="H23" s="48">
        <f t="shared" si="2"/>
        <v>1829.5</v>
      </c>
      <c r="I23" s="48">
        <f t="shared" si="1"/>
        <v>4597.200000000001</v>
      </c>
    </row>
    <row r="24" spans="1:9" ht="18">
      <c r="A24" s="26" t="s">
        <v>15</v>
      </c>
      <c r="B24" s="46">
        <v>249.3</v>
      </c>
      <c r="C24" s="47">
        <v>363.5</v>
      </c>
      <c r="D24" s="48">
        <f>73.6+22.6+5.3+2.4</f>
        <v>103.89999999999999</v>
      </c>
      <c r="E24" s="1">
        <f>D24/D18*100</f>
        <v>0.591153745490959</v>
      </c>
      <c r="F24" s="1">
        <f t="shared" si="3"/>
        <v>41.676694745286795</v>
      </c>
      <c r="G24" s="1">
        <f t="shared" si="0"/>
        <v>28.583218707015128</v>
      </c>
      <c r="H24" s="48">
        <f t="shared" si="2"/>
        <v>145.40000000000003</v>
      </c>
      <c r="I24" s="48">
        <f t="shared" si="1"/>
        <v>259.6</v>
      </c>
    </row>
    <row r="25" spans="1:9" ht="18.75" thickBot="1">
      <c r="A25" s="26" t="s">
        <v>34</v>
      </c>
      <c r="B25" s="47">
        <f>B18-B20-B21-B22-B23-B24</f>
        <v>769.7000000000014</v>
      </c>
      <c r="C25" s="47">
        <f>C18-C20-C21-C22-C23-C24</f>
        <v>1224.500000000001</v>
      </c>
      <c r="D25" s="47">
        <f>D18-D20-D21-D22-D23-D24</f>
        <v>148.50000000000512</v>
      </c>
      <c r="E25" s="1">
        <f>D25/D18*100</f>
        <v>0.8449117536613133</v>
      </c>
      <c r="F25" s="1">
        <f t="shared" si="3"/>
        <v>19.293231129011932</v>
      </c>
      <c r="G25" s="1">
        <f t="shared" si="0"/>
        <v>12.127398938342589</v>
      </c>
      <c r="H25" s="48">
        <f t="shared" si="2"/>
        <v>621.1999999999963</v>
      </c>
      <c r="I25" s="48">
        <f t="shared" si="1"/>
        <v>1075.999999999996</v>
      </c>
    </row>
    <row r="26" spans="1:9" ht="57" hidden="1" thickBot="1">
      <c r="A26" s="104" t="s">
        <v>89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90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91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92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93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94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95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7553.5</v>
      </c>
      <c r="C33" s="50">
        <v>11330.2</v>
      </c>
      <c r="D33" s="54">
        <f>1335+343.1+78.5+19.5+60.6+1286.4+5+525.1+62.5+112+1.7</f>
        <v>3829.3999999999996</v>
      </c>
      <c r="E33" s="3">
        <f>D33/D149*100</f>
        <v>5.936410002015284</v>
      </c>
      <c r="F33" s="3">
        <f>D33/B33*100</f>
        <v>50.69702786787581</v>
      </c>
      <c r="G33" s="3">
        <f t="shared" si="0"/>
        <v>33.79816772872499</v>
      </c>
      <c r="H33" s="51">
        <f t="shared" si="2"/>
        <v>3724.1000000000004</v>
      </c>
      <c r="I33" s="51">
        <f t="shared" si="1"/>
        <v>7500.800000000001</v>
      </c>
    </row>
    <row r="34" spans="1:9" ht="18">
      <c r="A34" s="26" t="s">
        <v>3</v>
      </c>
      <c r="B34" s="46">
        <v>5452.4</v>
      </c>
      <c r="C34" s="47">
        <v>8148.9</v>
      </c>
      <c r="D34" s="48">
        <f>1335+1268.2</f>
        <v>2603.2</v>
      </c>
      <c r="E34" s="1">
        <f>D34/D33*100</f>
        <v>67.97931790881077</v>
      </c>
      <c r="F34" s="1">
        <f t="shared" si="3"/>
        <v>47.744112684322495</v>
      </c>
      <c r="G34" s="1">
        <f t="shared" si="0"/>
        <v>31.945415945710465</v>
      </c>
      <c r="H34" s="48">
        <f t="shared" si="2"/>
        <v>2849.2</v>
      </c>
      <c r="I34" s="48">
        <f t="shared" si="1"/>
        <v>5545.7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470.8</v>
      </c>
      <c r="C36" s="47">
        <v>734.3</v>
      </c>
      <c r="D36" s="48">
        <f>10.5+61.2+112+1.1</f>
        <v>184.79999999999998</v>
      </c>
      <c r="E36" s="1">
        <f>D36/D33*100</f>
        <v>4.825821277484724</v>
      </c>
      <c r="F36" s="1">
        <f t="shared" si="3"/>
        <v>39.25233644859812</v>
      </c>
      <c r="G36" s="1">
        <f t="shared" si="0"/>
        <v>25.166825548141087</v>
      </c>
      <c r="H36" s="48">
        <f t="shared" si="2"/>
        <v>286</v>
      </c>
      <c r="I36" s="48">
        <f t="shared" si="1"/>
        <v>549.5</v>
      </c>
    </row>
    <row r="37" spans="1:9" s="41" customFormat="1" ht="18.75">
      <c r="A37" s="20" t="s">
        <v>7</v>
      </c>
      <c r="B37" s="55">
        <v>117.7</v>
      </c>
      <c r="C37" s="56">
        <v>176.6</v>
      </c>
      <c r="D37" s="57">
        <f>11.2+19.5+15.2+5</f>
        <v>50.9</v>
      </c>
      <c r="E37" s="17">
        <f>D37/D33*100</f>
        <v>1.3291899514284222</v>
      </c>
      <c r="F37" s="17">
        <f t="shared" si="3"/>
        <v>43.24553950722175</v>
      </c>
      <c r="G37" s="17">
        <f t="shared" si="0"/>
        <v>28.822197055492637</v>
      </c>
      <c r="H37" s="57">
        <f t="shared" si="2"/>
        <v>66.80000000000001</v>
      </c>
      <c r="I37" s="57">
        <f t="shared" si="1"/>
        <v>125.69999999999999</v>
      </c>
    </row>
    <row r="38" spans="1:9" ht="18">
      <c r="A38" s="26" t="s">
        <v>15</v>
      </c>
      <c r="B38" s="46">
        <v>10.2</v>
      </c>
      <c r="C38" s="47">
        <v>15.3</v>
      </c>
      <c r="D38" s="47">
        <f>5.1</f>
        <v>5.1</v>
      </c>
      <c r="E38" s="1">
        <f>D38/D33*100</f>
        <v>0.13318013265785764</v>
      </c>
      <c r="F38" s="1">
        <f t="shared" si="3"/>
        <v>50</v>
      </c>
      <c r="G38" s="1">
        <f t="shared" si="0"/>
        <v>33.33333333333333</v>
      </c>
      <c r="H38" s="48">
        <f t="shared" si="2"/>
        <v>5.1</v>
      </c>
      <c r="I38" s="48">
        <f t="shared" si="1"/>
        <v>10.200000000000001</v>
      </c>
    </row>
    <row r="39" spans="1:9" ht="18.75" thickBot="1">
      <c r="A39" s="26" t="s">
        <v>34</v>
      </c>
      <c r="B39" s="46">
        <f>B33-B34-B36-B37-B35-B38</f>
        <v>1502.4000000000003</v>
      </c>
      <c r="C39" s="46">
        <f>C33-C34-C36-C37-C35-C38</f>
        <v>2255.100000000001</v>
      </c>
      <c r="D39" s="46">
        <f>D33-D34-D36-D37-D35-D38</f>
        <v>985.3999999999999</v>
      </c>
      <c r="E39" s="1">
        <f>D39/D33*100</f>
        <v>25.732490729618217</v>
      </c>
      <c r="F39" s="1">
        <f t="shared" si="3"/>
        <v>65.58839190628326</v>
      </c>
      <c r="G39" s="1">
        <f t="shared" si="0"/>
        <v>43.69651013258834</v>
      </c>
      <c r="H39" s="48">
        <f>B39-D39</f>
        <v>517.0000000000005</v>
      </c>
      <c r="I39" s="48">
        <f t="shared" si="1"/>
        <v>1269.700000000001</v>
      </c>
    </row>
    <row r="40" spans="1:9" ht="19.5" hidden="1" thickBot="1">
      <c r="A40" s="104" t="s">
        <v>86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87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88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128</v>
      </c>
      <c r="C43" s="50">
        <v>192</v>
      </c>
      <c r="D43" s="51"/>
      <c r="E43" s="3">
        <f>D43/D149*100</f>
        <v>0</v>
      </c>
      <c r="F43" s="3">
        <f>D43/B43*100</f>
        <v>0</v>
      </c>
      <c r="G43" s="3">
        <f t="shared" si="0"/>
        <v>0</v>
      </c>
      <c r="H43" s="51">
        <f t="shared" si="2"/>
        <v>128</v>
      </c>
      <c r="I43" s="51">
        <f t="shared" si="1"/>
        <v>192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1255.1</v>
      </c>
      <c r="C45" s="50">
        <v>1882.6</v>
      </c>
      <c r="D45" s="51">
        <f>224.1+260.8</f>
        <v>484.9</v>
      </c>
      <c r="E45" s="3">
        <f>D45/D149*100</f>
        <v>0.7517013657432526</v>
      </c>
      <c r="F45" s="3">
        <f>D45/B45*100</f>
        <v>38.63437176320612</v>
      </c>
      <c r="G45" s="3">
        <f aca="true" t="shared" si="4" ref="G45:G75">D45/C45*100</f>
        <v>25.756931902687775</v>
      </c>
      <c r="H45" s="51">
        <f>B45-D45</f>
        <v>770.1999999999999</v>
      </c>
      <c r="I45" s="51">
        <f aca="true" t="shared" si="5" ref="I45:I76">C45-D45</f>
        <v>1397.6999999999998</v>
      </c>
    </row>
    <row r="46" spans="1:9" ht="18">
      <c r="A46" s="26" t="s">
        <v>3</v>
      </c>
      <c r="B46" s="46">
        <v>1072.3</v>
      </c>
      <c r="C46" s="47">
        <v>1605.2</v>
      </c>
      <c r="D46" s="48">
        <f>224.1+258.6</f>
        <v>482.70000000000005</v>
      </c>
      <c r="E46" s="1">
        <f>D46/D45*100</f>
        <v>99.54629820581565</v>
      </c>
      <c r="F46" s="1">
        <f aca="true" t="shared" si="6" ref="F46:F73">D46/B46*100</f>
        <v>45.01538748484567</v>
      </c>
      <c r="G46" s="1">
        <f t="shared" si="4"/>
        <v>30.071019187640168</v>
      </c>
      <c r="H46" s="48">
        <f aca="true" t="shared" si="7" ref="H46:H73">B46-D46</f>
        <v>589.5999999999999</v>
      </c>
      <c r="I46" s="48">
        <f t="shared" si="5"/>
        <v>1122.5</v>
      </c>
    </row>
    <row r="47" spans="1:9" ht="18">
      <c r="A47" s="26" t="s">
        <v>2</v>
      </c>
      <c r="B47" s="46">
        <v>0</v>
      </c>
      <c r="C47" s="47">
        <v>0.3</v>
      </c>
      <c r="D47" s="48"/>
      <c r="E47" s="1">
        <f>D47/D45*100</f>
        <v>0</v>
      </c>
      <c r="F47" s="111" t="e">
        <f t="shared" si="6"/>
        <v>#DIV/0!</v>
      </c>
      <c r="G47" s="1">
        <f t="shared" si="4"/>
        <v>0</v>
      </c>
      <c r="H47" s="48">
        <f t="shared" si="7"/>
        <v>0</v>
      </c>
      <c r="I47" s="48">
        <f t="shared" si="5"/>
        <v>0.3</v>
      </c>
    </row>
    <row r="48" spans="1:9" ht="18">
      <c r="A48" s="26" t="s">
        <v>1</v>
      </c>
      <c r="B48" s="46">
        <v>8.6</v>
      </c>
      <c r="C48" s="47">
        <v>15.2</v>
      </c>
      <c r="D48" s="48"/>
      <c r="E48" s="1">
        <f>D48/D45*100</f>
        <v>0</v>
      </c>
      <c r="F48" s="1">
        <f t="shared" si="6"/>
        <v>0</v>
      </c>
      <c r="G48" s="1">
        <f t="shared" si="4"/>
        <v>0</v>
      </c>
      <c r="H48" s="48">
        <f t="shared" si="7"/>
        <v>8.6</v>
      </c>
      <c r="I48" s="48">
        <f t="shared" si="5"/>
        <v>15.2</v>
      </c>
    </row>
    <row r="49" spans="1:9" ht="18">
      <c r="A49" s="26" t="s">
        <v>0</v>
      </c>
      <c r="B49" s="46">
        <v>144.5</v>
      </c>
      <c r="C49" s="47">
        <v>215.5</v>
      </c>
      <c r="D49" s="48">
        <f>2.2</f>
        <v>2.2</v>
      </c>
      <c r="E49" s="1">
        <f>D49/D45*100</f>
        <v>0.45370179418436796</v>
      </c>
      <c r="F49" s="1">
        <f t="shared" si="6"/>
        <v>1.5224913494809689</v>
      </c>
      <c r="G49" s="1">
        <f t="shared" si="4"/>
        <v>1.0208816705336428</v>
      </c>
      <c r="H49" s="48">
        <f t="shared" si="7"/>
        <v>142.3</v>
      </c>
      <c r="I49" s="48">
        <f t="shared" si="5"/>
        <v>213.3</v>
      </c>
    </row>
    <row r="50" spans="1:9" ht="18.75" thickBot="1">
      <c r="A50" s="26" t="s">
        <v>34</v>
      </c>
      <c r="B50" s="47">
        <f>B45-B46-B49-B48-B47</f>
        <v>29.699999999999953</v>
      </c>
      <c r="C50" s="47">
        <f>C45-C46-C49-C48-C47</f>
        <v>46.399999999999864</v>
      </c>
      <c r="D50" s="47">
        <f>D45-D46-D49-D48-D47</f>
        <v>-6.838973831690964E-14</v>
      </c>
      <c r="E50" s="1">
        <f>D50/D45*100</f>
        <v>-1.410388499008242E-14</v>
      </c>
      <c r="F50" s="1">
        <f t="shared" si="6"/>
        <v>-2.302684791815143E-13</v>
      </c>
      <c r="G50" s="1">
        <f t="shared" si="4"/>
        <v>-1.473916774071333E-13</v>
      </c>
      <c r="H50" s="48">
        <f t="shared" si="7"/>
        <v>29.70000000000002</v>
      </c>
      <c r="I50" s="48">
        <f t="shared" si="5"/>
        <v>46.399999999999935</v>
      </c>
    </row>
    <row r="51" spans="1:9" ht="18.75" thickBot="1">
      <c r="A51" s="25" t="s">
        <v>4</v>
      </c>
      <c r="B51" s="49">
        <v>2532.7</v>
      </c>
      <c r="C51" s="50">
        <v>3799</v>
      </c>
      <c r="D51" s="51">
        <f>8+294.9+37.1+10.7+29.1+464+10.3+76.6+3.8</f>
        <v>934.4999999999999</v>
      </c>
      <c r="E51" s="3">
        <f>D51/D149*100</f>
        <v>1.4486799882183328</v>
      </c>
      <c r="F51" s="3">
        <f>D51/B51*100</f>
        <v>36.89738224029691</v>
      </c>
      <c r="G51" s="3">
        <f t="shared" si="4"/>
        <v>24.598578573308764</v>
      </c>
      <c r="H51" s="51">
        <f>B51-D51</f>
        <v>1598.1999999999998</v>
      </c>
      <c r="I51" s="51">
        <f t="shared" si="5"/>
        <v>2864.5</v>
      </c>
    </row>
    <row r="52" spans="1:9" ht="18">
      <c r="A52" s="26" t="s">
        <v>3</v>
      </c>
      <c r="B52" s="46">
        <v>1796.3</v>
      </c>
      <c r="C52" s="47">
        <v>2694.2</v>
      </c>
      <c r="D52" s="48">
        <f>8+294.9+437.7</f>
        <v>740.5999999999999</v>
      </c>
      <c r="E52" s="1">
        <f>D52/D51*100</f>
        <v>79.25093632958801</v>
      </c>
      <c r="F52" s="1">
        <f t="shared" si="6"/>
        <v>41.2291933418694</v>
      </c>
      <c r="G52" s="1">
        <f t="shared" si="4"/>
        <v>27.4886793853463</v>
      </c>
      <c r="H52" s="48">
        <f t="shared" si="7"/>
        <v>1055.7</v>
      </c>
      <c r="I52" s="48">
        <f t="shared" si="5"/>
        <v>1953.6</v>
      </c>
    </row>
    <row r="53" spans="1:9" ht="18" hidden="1">
      <c r="A53" s="26" t="s">
        <v>2</v>
      </c>
      <c r="B53" s="46"/>
      <c r="C53" s="47"/>
      <c r="D53" s="48"/>
      <c r="E53" s="1">
        <f>D53/D51*100</f>
        <v>0</v>
      </c>
      <c r="F53" s="1" t="e">
        <f t="shared" si="6"/>
        <v>#DIV/0!</v>
      </c>
      <c r="G53" s="1" t="e">
        <f t="shared" si="4"/>
        <v>#DIV/0!</v>
      </c>
      <c r="H53" s="48">
        <f t="shared" si="7"/>
        <v>0</v>
      </c>
      <c r="I53" s="48">
        <f t="shared" si="5"/>
        <v>0</v>
      </c>
    </row>
    <row r="54" spans="1:9" ht="18">
      <c r="A54" s="26" t="s">
        <v>1</v>
      </c>
      <c r="B54" s="46">
        <v>32.3</v>
      </c>
      <c r="C54" s="47">
        <v>48.5</v>
      </c>
      <c r="D54" s="48">
        <f>1.3+0.7</f>
        <v>2</v>
      </c>
      <c r="E54" s="1">
        <f>D54/D51*100</f>
        <v>0.21401819154628146</v>
      </c>
      <c r="F54" s="1">
        <f t="shared" si="6"/>
        <v>6.191950464396285</v>
      </c>
      <c r="G54" s="1">
        <f t="shared" si="4"/>
        <v>4.123711340206185</v>
      </c>
      <c r="H54" s="48">
        <f t="shared" si="7"/>
        <v>30.299999999999997</v>
      </c>
      <c r="I54" s="48">
        <f t="shared" si="5"/>
        <v>46.5</v>
      </c>
    </row>
    <row r="55" spans="1:9" ht="18">
      <c r="A55" s="26" t="s">
        <v>0</v>
      </c>
      <c r="B55" s="46">
        <v>120.2</v>
      </c>
      <c r="C55" s="47">
        <v>203.6</v>
      </c>
      <c r="D55" s="48">
        <f>10.7+0.6</f>
        <v>11.299999999999999</v>
      </c>
      <c r="E55" s="1">
        <f>D55/D51*100</f>
        <v>1.2092027822364901</v>
      </c>
      <c r="F55" s="1">
        <f t="shared" si="6"/>
        <v>9.400998336106488</v>
      </c>
      <c r="G55" s="1">
        <f t="shared" si="4"/>
        <v>5.5500982318271115</v>
      </c>
      <c r="H55" s="48">
        <f t="shared" si="7"/>
        <v>108.9</v>
      </c>
      <c r="I55" s="48">
        <f t="shared" si="5"/>
        <v>192.29999999999998</v>
      </c>
    </row>
    <row r="56" spans="1:9" ht="18.75" thickBot="1">
      <c r="A56" s="26" t="s">
        <v>34</v>
      </c>
      <c r="B56" s="47">
        <f>B51-B52-B55-B54-B53</f>
        <v>583.8999999999999</v>
      </c>
      <c r="C56" s="47">
        <f>C51-C52-C55-C54-C53</f>
        <v>852.7000000000002</v>
      </c>
      <c r="D56" s="47">
        <f>D51-D52-D55-D54-D53</f>
        <v>180.59999999999997</v>
      </c>
      <c r="E56" s="1">
        <f>D56/D51*100</f>
        <v>19.325842696629213</v>
      </c>
      <c r="F56" s="1">
        <f t="shared" si="6"/>
        <v>30.929953759205347</v>
      </c>
      <c r="G56" s="1">
        <f t="shared" si="4"/>
        <v>21.179781869356155</v>
      </c>
      <c r="H56" s="48">
        <f t="shared" si="7"/>
        <v>403.2999999999999</v>
      </c>
      <c r="I56" s="48">
        <f>C56-D56</f>
        <v>672.1000000000001</v>
      </c>
    </row>
    <row r="57" spans="1:9" s="41" customFormat="1" ht="19.5" hidden="1" thickBot="1">
      <c r="A57" s="104" t="s">
        <v>85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914.9</v>
      </c>
      <c r="C58" s="50">
        <v>1372.3</v>
      </c>
      <c r="D58" s="51">
        <f>43.5+4.7+72.8</f>
        <v>121</v>
      </c>
      <c r="E58" s="3">
        <f>D58/D149*100</f>
        <v>0.1875765420807044</v>
      </c>
      <c r="F58" s="3">
        <f>D58/B58*100</f>
        <v>13.22548912449448</v>
      </c>
      <c r="G58" s="3">
        <f t="shared" si="4"/>
        <v>8.817313998396854</v>
      </c>
      <c r="H58" s="51">
        <f>B58-D58</f>
        <v>793.9</v>
      </c>
      <c r="I58" s="51">
        <f t="shared" si="5"/>
        <v>1251.3</v>
      </c>
    </row>
    <row r="59" spans="1:9" ht="18">
      <c r="A59" s="26" t="s">
        <v>3</v>
      </c>
      <c r="B59" s="46">
        <v>283.4</v>
      </c>
      <c r="C59" s="47">
        <v>424.5</v>
      </c>
      <c r="D59" s="48">
        <f>43.5+72.8</f>
        <v>116.3</v>
      </c>
      <c r="E59" s="1">
        <f>D59/D58*100</f>
        <v>96.11570247933884</v>
      </c>
      <c r="F59" s="1">
        <f t="shared" si="6"/>
        <v>41.03740296400847</v>
      </c>
      <c r="G59" s="1">
        <f t="shared" si="4"/>
        <v>27.39693757361602</v>
      </c>
      <c r="H59" s="48">
        <f t="shared" si="7"/>
        <v>167.09999999999997</v>
      </c>
      <c r="I59" s="48">
        <f t="shared" si="5"/>
        <v>308.2</v>
      </c>
    </row>
    <row r="60" spans="1:9" ht="18">
      <c r="A60" s="26" t="s">
        <v>1</v>
      </c>
      <c r="B60" s="46">
        <v>50</v>
      </c>
      <c r="C60" s="47">
        <v>75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50</v>
      </c>
      <c r="I60" s="48">
        <f t="shared" si="5"/>
        <v>75</v>
      </c>
    </row>
    <row r="61" spans="1:9" ht="18">
      <c r="A61" s="26" t="s">
        <v>0</v>
      </c>
      <c r="B61" s="46">
        <v>88</v>
      </c>
      <c r="C61" s="47">
        <v>164.4</v>
      </c>
      <c r="D61" s="48">
        <f>4.7</f>
        <v>4.7</v>
      </c>
      <c r="E61" s="1">
        <f>D61/D58*100</f>
        <v>3.884297520661157</v>
      </c>
      <c r="F61" s="1">
        <f t="shared" si="6"/>
        <v>5.340909090909092</v>
      </c>
      <c r="G61" s="1">
        <f t="shared" si="4"/>
        <v>2.8588807785888077</v>
      </c>
      <c r="H61" s="48">
        <f t="shared" si="7"/>
        <v>83.3</v>
      </c>
      <c r="I61" s="48">
        <f t="shared" si="5"/>
        <v>159.70000000000002</v>
      </c>
    </row>
    <row r="62" spans="1:9" ht="18">
      <c r="A62" s="26" t="s">
        <v>15</v>
      </c>
      <c r="B62" s="46">
        <v>463.1</v>
      </c>
      <c r="C62" s="47">
        <v>669.5</v>
      </c>
      <c r="D62" s="48"/>
      <c r="E62" s="1">
        <f>D62/D58*100</f>
        <v>0</v>
      </c>
      <c r="F62" s="1">
        <f>D62/B62*100</f>
        <v>0</v>
      </c>
      <c r="G62" s="1">
        <f t="shared" si="4"/>
        <v>0</v>
      </c>
      <c r="H62" s="48">
        <f t="shared" si="7"/>
        <v>463.1</v>
      </c>
      <c r="I62" s="48">
        <f t="shared" si="5"/>
        <v>669.5</v>
      </c>
    </row>
    <row r="63" spans="1:9" ht="18.75" thickBot="1">
      <c r="A63" s="26" t="s">
        <v>34</v>
      </c>
      <c r="B63" s="47">
        <f>B58-B59-B61-B62-B60</f>
        <v>30.399999999999977</v>
      </c>
      <c r="C63" s="47">
        <f>C58-C59-C61-C62-C60</f>
        <v>38.89999999999998</v>
      </c>
      <c r="D63" s="47">
        <f>D58-D59-D61-D62-D60</f>
        <v>2.6645352591003757E-15</v>
      </c>
      <c r="E63" s="1">
        <f>D63/D58*100</f>
        <v>2.202095255454856E-15</v>
      </c>
      <c r="F63" s="1">
        <f t="shared" si="6"/>
        <v>8.764918615461768E-15</v>
      </c>
      <c r="G63" s="1">
        <f t="shared" si="4"/>
        <v>6.849705036247756E-15</v>
      </c>
      <c r="H63" s="48">
        <f t="shared" si="7"/>
        <v>30.399999999999974</v>
      </c>
      <c r="I63" s="48">
        <f t="shared" si="5"/>
        <v>38.89999999999998</v>
      </c>
    </row>
    <row r="64" spans="1:9" s="41" customFormat="1" ht="19.5" hidden="1" thickBot="1">
      <c r="A64" s="104" t="s">
        <v>96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82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83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84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61.8</v>
      </c>
      <c r="C68" s="50">
        <f>C69+C70</f>
        <v>92.6</v>
      </c>
      <c r="D68" s="51">
        <f>SUM(D69:D70)</f>
        <v>3.9</v>
      </c>
      <c r="E68" s="39">
        <f>D68/D149*100</f>
        <v>0.00604585548855163</v>
      </c>
      <c r="F68" s="3">
        <f>D68/B68*100</f>
        <v>6.310679611650485</v>
      </c>
      <c r="G68" s="3">
        <f t="shared" si="4"/>
        <v>4.211663066954644</v>
      </c>
      <c r="H68" s="51">
        <f>B68-D68</f>
        <v>57.9</v>
      </c>
      <c r="I68" s="51">
        <f t="shared" si="5"/>
        <v>88.69999999999999</v>
      </c>
    </row>
    <row r="69" spans="1:9" ht="18" hidden="1">
      <c r="A69" s="26" t="s">
        <v>8</v>
      </c>
      <c r="B69" s="46">
        <v>61.8</v>
      </c>
      <c r="C69" s="47">
        <v>92.6</v>
      </c>
      <c r="D69" s="48">
        <f>3.9</f>
        <v>3.9</v>
      </c>
      <c r="E69" s="1">
        <f>D69/D68*100</f>
        <v>100</v>
      </c>
      <c r="F69" s="1">
        <f t="shared" si="6"/>
        <v>6.310679611650485</v>
      </c>
      <c r="G69" s="1">
        <f t="shared" si="4"/>
        <v>4.211663066954644</v>
      </c>
      <c r="H69" s="48">
        <f t="shared" si="7"/>
        <v>57.9</v>
      </c>
      <c r="I69" s="48">
        <f t="shared" si="5"/>
        <v>88.69999999999999</v>
      </c>
    </row>
    <row r="70" spans="1:9" ht="18.75" hidden="1" thickBot="1">
      <c r="A70" s="26" t="s">
        <v>9</v>
      </c>
      <c r="B70" s="46"/>
      <c r="C70" s="47"/>
      <c r="D70" s="48"/>
      <c r="E70" s="1">
        <f>D70/D69*100</f>
        <v>0</v>
      </c>
      <c r="F70" s="1" t="e">
        <f t="shared" si="6"/>
        <v>#DIV/0!</v>
      </c>
      <c r="G70" s="1" t="e">
        <f t="shared" si="4"/>
        <v>#DIV/0!</v>
      </c>
      <c r="H70" s="48">
        <f t="shared" si="7"/>
        <v>0</v>
      </c>
      <c r="I70" s="48">
        <f t="shared" si="5"/>
        <v>0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81.7</v>
      </c>
      <c r="C76" s="66">
        <v>122.5</v>
      </c>
      <c r="D76" s="67"/>
      <c r="E76" s="45"/>
      <c r="F76" s="45"/>
      <c r="G76" s="45"/>
      <c r="H76" s="67">
        <f>B76-D76</f>
        <v>81.7</v>
      </c>
      <c r="I76" s="67">
        <f t="shared" si="5"/>
        <v>122.5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76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75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8363.5</v>
      </c>
      <c r="C89" s="50">
        <v>12545.2</v>
      </c>
      <c r="D89" s="51">
        <f>504.1+603.6+0.4+13.4+0.4+2.2+9.9+1.1+305.4+663.4+712.7+3.4+59.2+17.1+69.2+0.3+0.1</f>
        <v>2965.9</v>
      </c>
      <c r="E89" s="3">
        <f>D89/D149*100</f>
        <v>4.597795588075713</v>
      </c>
      <c r="F89" s="3">
        <f aca="true" t="shared" si="10" ref="F89:F95">D89/B89*100</f>
        <v>35.46242601781551</v>
      </c>
      <c r="G89" s="3">
        <f t="shared" si="8"/>
        <v>23.64171157095941</v>
      </c>
      <c r="H89" s="51">
        <f aca="true" t="shared" si="11" ref="H89:H95">B89-D89</f>
        <v>5397.6</v>
      </c>
      <c r="I89" s="51">
        <f t="shared" si="9"/>
        <v>9579.300000000001</v>
      </c>
    </row>
    <row r="90" spans="1:9" ht="18">
      <c r="A90" s="26" t="s">
        <v>3</v>
      </c>
      <c r="B90" s="46">
        <v>7095</v>
      </c>
      <c r="C90" s="47">
        <v>10620.7</v>
      </c>
      <c r="D90" s="48">
        <f>504.1+600.9+12.5+0.1+294.4+657+710.4+56.2+67.4</f>
        <v>2903</v>
      </c>
      <c r="E90" s="1">
        <f>D90/D89*100</f>
        <v>97.87922721602212</v>
      </c>
      <c r="F90" s="1">
        <f t="shared" si="10"/>
        <v>40.91613812544045</v>
      </c>
      <c r="G90" s="1">
        <f t="shared" si="8"/>
        <v>27.333414934985452</v>
      </c>
      <c r="H90" s="48">
        <f t="shared" si="11"/>
        <v>4192</v>
      </c>
      <c r="I90" s="48">
        <f t="shared" si="9"/>
        <v>7717.700000000001</v>
      </c>
    </row>
    <row r="91" spans="1:9" ht="18">
      <c r="A91" s="26" t="s">
        <v>32</v>
      </c>
      <c r="B91" s="46">
        <v>529.5</v>
      </c>
      <c r="C91" s="47">
        <v>802.4</v>
      </c>
      <c r="D91" s="48">
        <f>9.8</f>
        <v>9.8</v>
      </c>
      <c r="E91" s="1">
        <f>D91/D89*100</f>
        <v>0.3304224687278735</v>
      </c>
      <c r="F91" s="1">
        <f t="shared" si="10"/>
        <v>1.8508026440037775</v>
      </c>
      <c r="G91" s="1">
        <f t="shared" si="8"/>
        <v>1.2213359920239284</v>
      </c>
      <c r="H91" s="48">
        <f t="shared" si="11"/>
        <v>519.7</v>
      </c>
      <c r="I91" s="48">
        <f t="shared" si="9"/>
        <v>792.6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739</v>
      </c>
      <c r="C93" s="47">
        <f>C89-C90-C91-C92</f>
        <v>1122.1</v>
      </c>
      <c r="D93" s="47">
        <f>D89-D90-D91-D92</f>
        <v>53.100000000000094</v>
      </c>
      <c r="E93" s="1">
        <f>D93/D89*100</f>
        <v>1.7903503152500115</v>
      </c>
      <c r="F93" s="1">
        <f t="shared" si="10"/>
        <v>7.1853856562923</v>
      </c>
      <c r="G93" s="1">
        <f>D93/C93*100</f>
        <v>4.732198556278415</v>
      </c>
      <c r="H93" s="48">
        <f t="shared" si="11"/>
        <v>685.8999999999999</v>
      </c>
      <c r="I93" s="48">
        <f>C93-D93</f>
        <v>1068.9999999999998</v>
      </c>
    </row>
    <row r="94" spans="1:9" ht="18.75">
      <c r="A94" s="116" t="s">
        <v>12</v>
      </c>
      <c r="B94" s="119">
        <v>10377.4</v>
      </c>
      <c r="C94" s="121">
        <v>15566</v>
      </c>
      <c r="D94" s="120">
        <f>3050.1+485.9+95+377.6+203.9+57.3+702.6+368.5+68.4+157.9+4015.3</f>
        <v>9582.5</v>
      </c>
      <c r="E94" s="115">
        <f>D94/D149*100</f>
        <v>14.854976979242561</v>
      </c>
      <c r="F94" s="118">
        <f t="shared" si="10"/>
        <v>92.34008518511381</v>
      </c>
      <c r="G94" s="114">
        <f>D94/C94*100</f>
        <v>61.560452267763075</v>
      </c>
      <c r="H94" s="120">
        <f t="shared" si="11"/>
        <v>794.8999999999996</v>
      </c>
      <c r="I94" s="130">
        <f>C94-D94</f>
        <v>5983.5</v>
      </c>
    </row>
    <row r="95" spans="1:9" ht="18.75" thickBot="1">
      <c r="A95" s="117" t="s">
        <v>104</v>
      </c>
      <c r="B95" s="122">
        <v>860</v>
      </c>
      <c r="C95" s="123">
        <v>1290</v>
      </c>
      <c r="D95" s="124">
        <f>57.3+368.5</f>
        <v>425.8</v>
      </c>
      <c r="E95" s="125">
        <f>D95/D94*100</f>
        <v>4.443516827550222</v>
      </c>
      <c r="F95" s="126">
        <f t="shared" si="10"/>
        <v>49.51162790697675</v>
      </c>
      <c r="G95" s="127">
        <f>D95/C95*100</f>
        <v>33.007751937984494</v>
      </c>
      <c r="H95" s="131">
        <f t="shared" si="11"/>
        <v>434.2</v>
      </c>
      <c r="I95" s="132">
        <f>C95-D95</f>
        <v>864.2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1834.1</v>
      </c>
      <c r="C101" s="100">
        <f>2588.7+162.5</f>
        <v>2751.2</v>
      </c>
      <c r="D101" s="87">
        <f>40+388.7+47.5+2</f>
        <v>478.2</v>
      </c>
      <c r="E101" s="22">
        <f>D101/D149*100</f>
        <v>0.7413148960577921</v>
      </c>
      <c r="F101" s="22">
        <f>D101/B101*100</f>
        <v>26.072733220653184</v>
      </c>
      <c r="G101" s="22">
        <f aca="true" t="shared" si="12" ref="G101:G147">D101/C101*100</f>
        <v>17.381506251817388</v>
      </c>
      <c r="H101" s="87">
        <f aca="true" t="shared" si="13" ref="H101:H106">B101-D101</f>
        <v>1355.8999999999999</v>
      </c>
      <c r="I101" s="87">
        <f aca="true" t="shared" si="14" ref="I101:I147">C101-D101</f>
        <v>2273</v>
      </c>
    </row>
    <row r="102" spans="1:9" ht="18">
      <c r="A102" s="26" t="s">
        <v>3</v>
      </c>
      <c r="B102" s="97">
        <v>12.5</v>
      </c>
      <c r="C102" s="95">
        <f>18.7</f>
        <v>18.7</v>
      </c>
      <c r="D102" s="95"/>
      <c r="E102" s="91">
        <f>D102/D101*100</f>
        <v>0</v>
      </c>
      <c r="F102" s="1">
        <f>D102/B102*100</f>
        <v>0</v>
      </c>
      <c r="G102" s="91">
        <f>D102/C102*100</f>
        <v>0</v>
      </c>
      <c r="H102" s="95">
        <f t="shared" si="13"/>
        <v>12.5</v>
      </c>
      <c r="I102" s="95">
        <f t="shared" si="14"/>
        <v>18.7</v>
      </c>
    </row>
    <row r="103" spans="1:9" ht="18">
      <c r="A103" s="93" t="s">
        <v>62</v>
      </c>
      <c r="B103" s="78">
        <v>1548.3</v>
      </c>
      <c r="C103" s="48">
        <v>2321.2</v>
      </c>
      <c r="D103" s="48">
        <f>39.8+388.5+20.6+2</f>
        <v>450.90000000000003</v>
      </c>
      <c r="E103" s="1">
        <f>D103/D101*100</f>
        <v>94.29109159347554</v>
      </c>
      <c r="F103" s="1">
        <f aca="true" t="shared" si="15" ref="F103:F147">D103/B103*100</f>
        <v>29.12226312730091</v>
      </c>
      <c r="G103" s="1">
        <f t="shared" si="12"/>
        <v>19.42529726003791</v>
      </c>
      <c r="H103" s="48">
        <f t="shared" si="13"/>
        <v>1097.3999999999999</v>
      </c>
      <c r="I103" s="48">
        <f t="shared" si="14"/>
        <v>1870.2999999999997</v>
      </c>
    </row>
    <row r="104" spans="1:9" ht="54.75" hidden="1" thickBot="1">
      <c r="A104" s="94" t="s">
        <v>100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273.29999999999995</v>
      </c>
      <c r="C105" s="96">
        <f>C101-C102-C103</f>
        <v>411.3000000000002</v>
      </c>
      <c r="D105" s="96">
        <f>D101-D102-D103</f>
        <v>27.299999999999955</v>
      </c>
      <c r="E105" s="92">
        <f>D105/D101*100</f>
        <v>5.708908406524457</v>
      </c>
      <c r="F105" s="92">
        <f t="shared" si="15"/>
        <v>9.989023051591642</v>
      </c>
      <c r="G105" s="92">
        <f t="shared" si="12"/>
        <v>6.637490882567455</v>
      </c>
      <c r="H105" s="132">
        <f>B105-D105</f>
        <v>246</v>
      </c>
      <c r="I105" s="132">
        <f t="shared" si="14"/>
        <v>384.0000000000002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12143.299999999997</v>
      </c>
      <c r="C106" s="89">
        <f>SUM(C107:C146)-C114-C118+C147-C138-C139-C108-C111-C121-C122-C136-C130-C128</f>
        <v>17188.5</v>
      </c>
      <c r="D106" s="89">
        <f>SUM(D107:D146)-D114-D118+D147-D138-D139-D108-D111-D121-D122-D136-D130-D128</f>
        <v>2890</v>
      </c>
      <c r="E106" s="90">
        <f>D106/D149*100</f>
        <v>4.480133938952362</v>
      </c>
      <c r="F106" s="90">
        <f>D106/B106*100</f>
        <v>23.799132031655322</v>
      </c>
      <c r="G106" s="90">
        <f t="shared" si="12"/>
        <v>16.813567210635018</v>
      </c>
      <c r="H106" s="89">
        <f t="shared" si="13"/>
        <v>9253.299999999997</v>
      </c>
      <c r="I106" s="89">
        <f t="shared" si="14"/>
        <v>14298.5</v>
      </c>
    </row>
    <row r="107" spans="1:9" ht="37.5">
      <c r="A107" s="31" t="s">
        <v>66</v>
      </c>
      <c r="B107" s="75">
        <v>300</v>
      </c>
      <c r="C107" s="71">
        <v>449.9</v>
      </c>
      <c r="D107" s="76">
        <f>142.7</f>
        <v>142.7</v>
      </c>
      <c r="E107" s="6">
        <f>D107/D106*100</f>
        <v>4.937716262975778</v>
      </c>
      <c r="F107" s="6">
        <f t="shared" si="15"/>
        <v>47.56666666666666</v>
      </c>
      <c r="G107" s="6">
        <f t="shared" si="12"/>
        <v>31.71815959102023</v>
      </c>
      <c r="H107" s="65">
        <f aca="true" t="shared" si="16" ref="H107:H147">B107-D107</f>
        <v>157.3</v>
      </c>
      <c r="I107" s="65">
        <f t="shared" si="14"/>
        <v>307.2</v>
      </c>
    </row>
    <row r="108" spans="1:9" ht="18">
      <c r="A108" s="26" t="s">
        <v>32</v>
      </c>
      <c r="B108" s="78">
        <v>215.2</v>
      </c>
      <c r="C108" s="48">
        <v>318.3</v>
      </c>
      <c r="D108" s="79">
        <f>142.7</f>
        <v>142.7</v>
      </c>
      <c r="E108" s="1">
        <f>D108/D107*100</f>
        <v>100</v>
      </c>
      <c r="F108" s="1">
        <f t="shared" si="15"/>
        <v>66.31040892193309</v>
      </c>
      <c r="G108" s="1">
        <f t="shared" si="12"/>
        <v>44.83191957273012</v>
      </c>
      <c r="H108" s="48">
        <f t="shared" si="16"/>
        <v>72.5</v>
      </c>
      <c r="I108" s="48">
        <f t="shared" si="14"/>
        <v>175.60000000000002</v>
      </c>
    </row>
    <row r="109" spans="1:9" ht="34.5" customHeight="1">
      <c r="A109" s="16" t="s">
        <v>99</v>
      </c>
      <c r="B109" s="77">
        <v>150.6</v>
      </c>
      <c r="C109" s="65">
        <v>226</v>
      </c>
      <c r="D109" s="76">
        <f>26.5</f>
        <v>26.5</v>
      </c>
      <c r="E109" s="6">
        <f>D109/D106*100</f>
        <v>0.916955017301038</v>
      </c>
      <c r="F109" s="6">
        <f>D109/B109*100</f>
        <v>17.59628154050465</v>
      </c>
      <c r="G109" s="6">
        <f t="shared" si="12"/>
        <v>11.725663716814159</v>
      </c>
      <c r="H109" s="65">
        <f t="shared" si="16"/>
        <v>124.1</v>
      </c>
      <c r="I109" s="65">
        <f t="shared" si="14"/>
        <v>199.5</v>
      </c>
    </row>
    <row r="110" spans="1:9" s="41" customFormat="1" ht="34.5" customHeight="1" hidden="1">
      <c r="A110" s="16" t="s">
        <v>74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37.5" hidden="1">
      <c r="A112" s="16" t="s">
        <v>73</v>
      </c>
      <c r="B112" s="77"/>
      <c r="C112" s="65"/>
      <c r="D112" s="76"/>
      <c r="E112" s="6">
        <f>D112/D106*100</f>
        <v>0</v>
      </c>
      <c r="F112" s="6" t="e">
        <f t="shared" si="15"/>
        <v>#DIV/0!</v>
      </c>
      <c r="G112" s="6" t="e">
        <f t="shared" si="12"/>
        <v>#DIV/0!</v>
      </c>
      <c r="H112" s="65">
        <f t="shared" si="16"/>
        <v>0</v>
      </c>
      <c r="I112" s="65">
        <f t="shared" si="14"/>
        <v>0</v>
      </c>
    </row>
    <row r="113" spans="1:9" ht="37.5">
      <c r="A113" s="16" t="s">
        <v>46</v>
      </c>
      <c r="B113" s="77">
        <v>255.4</v>
      </c>
      <c r="C113" s="65">
        <v>383.1</v>
      </c>
      <c r="D113" s="76">
        <f>82.2+4.4+0.2</f>
        <v>86.80000000000001</v>
      </c>
      <c r="E113" s="6">
        <f>D113/D106*100</f>
        <v>3.0034602076124575</v>
      </c>
      <c r="F113" s="6">
        <f t="shared" si="15"/>
        <v>33.985904463586536</v>
      </c>
      <c r="G113" s="6">
        <f t="shared" si="12"/>
        <v>22.65726964239102</v>
      </c>
      <c r="H113" s="65">
        <f t="shared" si="16"/>
        <v>168.6</v>
      </c>
      <c r="I113" s="65">
        <f t="shared" si="14"/>
        <v>296.3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40.2</v>
      </c>
      <c r="C117" s="57">
        <v>60.4</v>
      </c>
      <c r="D117" s="76">
        <f>17.1-0.3+0.8</f>
        <v>17.6</v>
      </c>
      <c r="E117" s="6">
        <f>D117/D106*100</f>
        <v>0.6089965397923877</v>
      </c>
      <c r="F117" s="6">
        <f t="shared" si="15"/>
        <v>43.78109452736319</v>
      </c>
      <c r="G117" s="6">
        <f t="shared" si="12"/>
        <v>29.139072847682122</v>
      </c>
      <c r="H117" s="65">
        <f t="shared" si="16"/>
        <v>22.6</v>
      </c>
      <c r="I117" s="65">
        <f t="shared" si="14"/>
        <v>42.8</v>
      </c>
    </row>
    <row r="118" spans="1:9" s="36" customFormat="1" ht="18">
      <c r="A118" s="37" t="s">
        <v>53</v>
      </c>
      <c r="B118" s="78">
        <v>37.2</v>
      </c>
      <c r="C118" s="48">
        <v>55.7</v>
      </c>
      <c r="D118" s="79">
        <f>17.1-0.3</f>
        <v>16.8</v>
      </c>
      <c r="E118" s="1">
        <f>D118/D117*100</f>
        <v>95.45454545454545</v>
      </c>
      <c r="F118" s="1">
        <f t="shared" si="15"/>
        <v>45.16129032258064</v>
      </c>
      <c r="G118" s="1">
        <f t="shared" si="12"/>
        <v>30.16157989228007</v>
      </c>
      <c r="H118" s="48">
        <f t="shared" si="16"/>
        <v>20.400000000000002</v>
      </c>
      <c r="I118" s="48">
        <f t="shared" si="14"/>
        <v>38.900000000000006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182.2</v>
      </c>
      <c r="C120" s="57">
        <v>273.2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182.2</v>
      </c>
      <c r="I120" s="65">
        <f t="shared" si="14"/>
        <v>273.2</v>
      </c>
    </row>
    <row r="121" spans="1:9" s="110" customFormat="1" ht="18" hidden="1">
      <c r="A121" s="26" t="s">
        <v>101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489</v>
      </c>
      <c r="C123" s="57">
        <v>733.4</v>
      </c>
      <c r="D123" s="80"/>
      <c r="E123" s="17">
        <f>D123/D106*100</f>
        <v>0</v>
      </c>
      <c r="F123" s="6">
        <f t="shared" si="15"/>
        <v>0</v>
      </c>
      <c r="G123" s="6">
        <f t="shared" si="12"/>
        <v>0</v>
      </c>
      <c r="H123" s="65">
        <f t="shared" si="16"/>
        <v>489</v>
      </c>
      <c r="I123" s="65">
        <f t="shared" si="14"/>
        <v>733.4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97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106</v>
      </c>
      <c r="B126" s="77">
        <v>55.4</v>
      </c>
      <c r="C126" s="57">
        <v>83.1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55.4</v>
      </c>
      <c r="I126" s="65">
        <f t="shared" si="14"/>
        <v>83.1</v>
      </c>
    </row>
    <row r="127" spans="1:9" s="2" customFormat="1" ht="37.5">
      <c r="A127" s="16" t="s">
        <v>77</v>
      </c>
      <c r="B127" s="77">
        <v>137.2</v>
      </c>
      <c r="C127" s="57">
        <v>205.8</v>
      </c>
      <c r="D127" s="80">
        <f>2.8+14.4</f>
        <v>17.2</v>
      </c>
      <c r="E127" s="17">
        <f>D127/D106*100</f>
        <v>0.5951557093425606</v>
      </c>
      <c r="F127" s="6">
        <f t="shared" si="15"/>
        <v>12.536443148688047</v>
      </c>
      <c r="G127" s="6">
        <f t="shared" si="12"/>
        <v>8.35762876579203</v>
      </c>
      <c r="H127" s="65">
        <f t="shared" si="16"/>
        <v>119.99999999999999</v>
      </c>
      <c r="I127" s="65">
        <f t="shared" si="14"/>
        <v>188.60000000000002</v>
      </c>
    </row>
    <row r="128" spans="1:9" s="36" customFormat="1" ht="18">
      <c r="A128" s="26" t="s">
        <v>115</v>
      </c>
      <c r="B128" s="78">
        <v>5.5</v>
      </c>
      <c r="C128" s="48">
        <v>8.3</v>
      </c>
      <c r="D128" s="79">
        <f>2.8</f>
        <v>2.8</v>
      </c>
      <c r="E128" s="1">
        <f>D128/D127*100</f>
        <v>16.279069767441857</v>
      </c>
      <c r="F128" s="1">
        <f>D128/B128*100</f>
        <v>50.90909090909091</v>
      </c>
      <c r="G128" s="1">
        <f t="shared" si="12"/>
        <v>33.734939759036145</v>
      </c>
      <c r="H128" s="48">
        <f t="shared" si="16"/>
        <v>2.7</v>
      </c>
      <c r="I128" s="48">
        <f t="shared" si="14"/>
        <v>5.500000000000001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12.7</v>
      </c>
      <c r="C131" s="57">
        <v>19.1</v>
      </c>
      <c r="D131" s="80">
        <f>0.8</f>
        <v>0.8</v>
      </c>
      <c r="E131" s="17">
        <f>D131/D106*100</f>
        <v>0.02768166089965398</v>
      </c>
      <c r="F131" s="6">
        <f t="shared" si="15"/>
        <v>6.299212598425198</v>
      </c>
      <c r="G131" s="6">
        <f t="shared" si="12"/>
        <v>4.18848167539267</v>
      </c>
      <c r="H131" s="65">
        <f t="shared" si="16"/>
        <v>11.899999999999999</v>
      </c>
      <c r="I131" s="65">
        <f t="shared" si="14"/>
        <v>18.3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113</v>
      </c>
      <c r="B133" s="77">
        <v>8.3</v>
      </c>
      <c r="C133" s="57">
        <v>12.5</v>
      </c>
      <c r="D133" s="80"/>
      <c r="E133" s="17">
        <f>D133/D106*100</f>
        <v>0</v>
      </c>
      <c r="F133" s="6">
        <f t="shared" si="15"/>
        <v>0</v>
      </c>
      <c r="G133" s="6">
        <f t="shared" si="12"/>
        <v>0</v>
      </c>
      <c r="H133" s="65">
        <f t="shared" si="16"/>
        <v>8.3</v>
      </c>
      <c r="I133" s="65">
        <f t="shared" si="14"/>
        <v>12.5</v>
      </c>
    </row>
    <row r="134" spans="1:9" s="2" customFormat="1" ht="35.25" customHeight="1" hidden="1">
      <c r="A134" s="16" t="s">
        <v>114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105</v>
      </c>
      <c r="B135" s="77">
        <v>62.2</v>
      </c>
      <c r="C135" s="57">
        <v>93.2</v>
      </c>
      <c r="D135" s="80"/>
      <c r="E135" s="17">
        <f>D135/D106*100</f>
        <v>0</v>
      </c>
      <c r="F135" s="6">
        <f t="shared" si="15"/>
        <v>0</v>
      </c>
      <c r="G135" s="6">
        <f>D135/C135*100</f>
        <v>0</v>
      </c>
      <c r="H135" s="65">
        <f t="shared" si="16"/>
        <v>62.2</v>
      </c>
      <c r="I135" s="65">
        <f t="shared" si="14"/>
        <v>93.2</v>
      </c>
    </row>
    <row r="136" spans="1:9" s="36" customFormat="1" ht="18">
      <c r="A136" s="26" t="s">
        <v>32</v>
      </c>
      <c r="B136" s="78">
        <v>50.1</v>
      </c>
      <c r="C136" s="48">
        <v>75.2</v>
      </c>
      <c r="D136" s="79"/>
      <c r="E136" s="111" t="e">
        <f>D136/D135*100</f>
        <v>#DIV/0!</v>
      </c>
      <c r="F136" s="1">
        <f t="shared" si="15"/>
        <v>0</v>
      </c>
      <c r="G136" s="1">
        <f>D136/C136*100</f>
        <v>0</v>
      </c>
      <c r="H136" s="48">
        <f t="shared" si="16"/>
        <v>50.1</v>
      </c>
      <c r="I136" s="48">
        <f t="shared" si="14"/>
        <v>75.2</v>
      </c>
    </row>
    <row r="137" spans="1:9" s="2" customFormat="1" ht="18.75">
      <c r="A137" s="16" t="s">
        <v>31</v>
      </c>
      <c r="B137" s="77">
        <v>173.6</v>
      </c>
      <c r="C137" s="57">
        <v>260.4</v>
      </c>
      <c r="D137" s="80">
        <f>26.5+42.3</f>
        <v>68.8</v>
      </c>
      <c r="E137" s="17">
        <f>D137/D106*100</f>
        <v>2.3806228373702423</v>
      </c>
      <c r="F137" s="6">
        <f t="shared" si="15"/>
        <v>39.63133640552996</v>
      </c>
      <c r="G137" s="6">
        <f t="shared" si="12"/>
        <v>26.42089093701997</v>
      </c>
      <c r="H137" s="65">
        <f t="shared" si="16"/>
        <v>104.8</v>
      </c>
      <c r="I137" s="65">
        <f t="shared" si="14"/>
        <v>191.59999999999997</v>
      </c>
    </row>
    <row r="138" spans="1:9" s="36" customFormat="1" ht="18">
      <c r="A138" s="37" t="s">
        <v>53</v>
      </c>
      <c r="B138" s="78">
        <v>149.2</v>
      </c>
      <c r="C138" s="48">
        <v>223.7</v>
      </c>
      <c r="D138" s="79">
        <f>26.5+39.8</f>
        <v>66.3</v>
      </c>
      <c r="E138" s="1">
        <f>D138/D137*100</f>
        <v>96.36627906976744</v>
      </c>
      <c r="F138" s="1">
        <f aca="true" t="shared" si="17" ref="F138:F146">D138/B138*100</f>
        <v>44.43699731903485</v>
      </c>
      <c r="G138" s="1">
        <f t="shared" si="12"/>
        <v>29.637907912382655</v>
      </c>
      <c r="H138" s="48">
        <f t="shared" si="16"/>
        <v>82.89999999999999</v>
      </c>
      <c r="I138" s="48">
        <f t="shared" si="14"/>
        <v>157.39999999999998</v>
      </c>
    </row>
    <row r="139" spans="1:9" s="36" customFormat="1" ht="18">
      <c r="A139" s="26" t="s">
        <v>32</v>
      </c>
      <c r="B139" s="78">
        <v>18</v>
      </c>
      <c r="C139" s="48">
        <v>25.4</v>
      </c>
      <c r="D139" s="79"/>
      <c r="E139" s="1">
        <f>D139/D137*100</f>
        <v>0</v>
      </c>
      <c r="F139" s="1">
        <f t="shared" si="17"/>
        <v>0</v>
      </c>
      <c r="G139" s="1">
        <f>D139/C139*100</f>
        <v>0</v>
      </c>
      <c r="H139" s="48">
        <f t="shared" si="16"/>
        <v>18</v>
      </c>
      <c r="I139" s="48">
        <f t="shared" si="14"/>
        <v>25.4</v>
      </c>
    </row>
    <row r="140" spans="1:9" s="2" customFormat="1" ht="56.25" hidden="1">
      <c r="A140" s="20" t="s">
        <v>110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112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107</v>
      </c>
      <c r="B142" s="77">
        <v>2491.7</v>
      </c>
      <c r="C142" s="57">
        <v>3737.5</v>
      </c>
      <c r="D142" s="80">
        <f>112.8</f>
        <v>112.8</v>
      </c>
      <c r="E142" s="17">
        <f>D142/D106*100</f>
        <v>3.903114186851211</v>
      </c>
      <c r="F142" s="107">
        <f t="shared" si="17"/>
        <v>4.527029738732592</v>
      </c>
      <c r="G142" s="6">
        <f t="shared" si="12"/>
        <v>3.0180602006688964</v>
      </c>
      <c r="H142" s="65">
        <f t="shared" si="16"/>
        <v>2378.8999999999996</v>
      </c>
      <c r="I142" s="65">
        <f t="shared" si="14"/>
        <v>3624.7</v>
      </c>
    </row>
    <row r="143" spans="1:9" s="2" customFormat="1" ht="18.75">
      <c r="A143" s="20" t="s">
        <v>108</v>
      </c>
      <c r="B143" s="77">
        <v>857.2</v>
      </c>
      <c r="C143" s="57">
        <v>1285.8</v>
      </c>
      <c r="D143" s="80"/>
      <c r="E143" s="17">
        <f>D143/D106*100</f>
        <v>0</v>
      </c>
      <c r="F143" s="107">
        <f t="shared" si="17"/>
        <v>0</v>
      </c>
      <c r="G143" s="6">
        <f t="shared" si="12"/>
        <v>0</v>
      </c>
      <c r="H143" s="65">
        <f t="shared" si="16"/>
        <v>857.2</v>
      </c>
      <c r="I143" s="65">
        <f t="shared" si="14"/>
        <v>1285.8</v>
      </c>
    </row>
    <row r="144" spans="1:9" s="2" customFormat="1" ht="18.75">
      <c r="A144" s="16" t="s">
        <v>111</v>
      </c>
      <c r="B144" s="77">
        <v>2094</v>
      </c>
      <c r="C144" s="57">
        <v>2114.7</v>
      </c>
      <c r="D144" s="80"/>
      <c r="E144" s="17">
        <f>D144/D106*100</f>
        <v>0</v>
      </c>
      <c r="F144" s="107">
        <f t="shared" si="17"/>
        <v>0</v>
      </c>
      <c r="G144" s="6">
        <f t="shared" si="12"/>
        <v>0</v>
      </c>
      <c r="H144" s="65">
        <f t="shared" si="16"/>
        <v>2094</v>
      </c>
      <c r="I144" s="65">
        <f t="shared" si="14"/>
        <v>2114.7</v>
      </c>
    </row>
    <row r="145" spans="1:12" s="2" customFormat="1" ht="18.75" customHeight="1" hidden="1">
      <c r="A145" s="16" t="s">
        <v>98</v>
      </c>
      <c r="B145" s="77"/>
      <c r="C145" s="57"/>
      <c r="D145" s="80"/>
      <c r="E145" s="17">
        <f>D145/D106*100</f>
        <v>0</v>
      </c>
      <c r="F145" s="107" t="e">
        <f t="shared" si="17"/>
        <v>#DIV/0!</v>
      </c>
      <c r="G145" s="6" t="e">
        <f t="shared" si="12"/>
        <v>#DIV/0!</v>
      </c>
      <c r="H145" s="65">
        <f t="shared" si="16"/>
        <v>0</v>
      </c>
      <c r="I145" s="65">
        <f t="shared" si="14"/>
        <v>0</v>
      </c>
      <c r="K145" s="42"/>
      <c r="L145" s="42"/>
    </row>
    <row r="146" spans="1:12" s="2" customFormat="1" ht="19.5" customHeight="1" hidden="1">
      <c r="A146" s="16" t="s">
        <v>64</v>
      </c>
      <c r="B146" s="77"/>
      <c r="C146" s="57"/>
      <c r="D146" s="80"/>
      <c r="E146" s="17">
        <f>D146/D106*100</f>
        <v>0</v>
      </c>
      <c r="F146" s="6" t="e">
        <f t="shared" si="17"/>
        <v>#DIV/0!</v>
      </c>
      <c r="G146" s="6" t="e">
        <f t="shared" si="12"/>
        <v>#DIV/0!</v>
      </c>
      <c r="H146" s="65">
        <f t="shared" si="16"/>
        <v>0</v>
      </c>
      <c r="I146" s="65">
        <f t="shared" si="14"/>
        <v>0</v>
      </c>
      <c r="K146" s="99"/>
      <c r="L146" s="42"/>
    </row>
    <row r="147" spans="1:12" s="2" customFormat="1" ht="18.75">
      <c r="A147" s="16" t="s">
        <v>109</v>
      </c>
      <c r="B147" s="77">
        <f>1855.3+561.5+2416.8</f>
        <v>4833.6</v>
      </c>
      <c r="C147" s="57">
        <f>5565.9+1684.5</f>
        <v>7250.4</v>
      </c>
      <c r="D147" s="80">
        <f>805.6+805.6+805.6</f>
        <v>2416.8</v>
      </c>
      <c r="E147" s="17">
        <f>D147/D106*100</f>
        <v>83.62629757785469</v>
      </c>
      <c r="F147" s="6">
        <f t="shared" si="15"/>
        <v>50</v>
      </c>
      <c r="G147" s="6">
        <f t="shared" si="12"/>
        <v>33.333333333333336</v>
      </c>
      <c r="H147" s="65">
        <f t="shared" si="16"/>
        <v>2416.8</v>
      </c>
      <c r="I147" s="65">
        <f t="shared" si="14"/>
        <v>4833.599999999999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14248.899999999998</v>
      </c>
      <c r="C148" s="81">
        <f>C43+C68+C71+C76+C78+C86+C101+C106+C99+C83+C97</f>
        <v>20346.8</v>
      </c>
      <c r="D148" s="57">
        <f>D43+D68+D71+D76+D78+D86+D101+D106+D99+D83+D97</f>
        <v>3372.1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140370.8</v>
      </c>
      <c r="C149" s="51">
        <f>C6+C18+C33+C43+C51+C58+C68+C71+C76+C78+C86+C89+C94+C101+C106+C99+C83+C97+C45</f>
        <v>209529.40000000002</v>
      </c>
      <c r="D149" s="51">
        <f>D6+D18+D33+D43+D51+D58+D68+D71+D76+D78+D86+D89+D94+D101+D106+D99+D83+D97+D45</f>
        <v>64507</v>
      </c>
      <c r="E149" s="35">
        <v>100</v>
      </c>
      <c r="F149" s="3">
        <f>D149/B149*100</f>
        <v>45.9547142283153</v>
      </c>
      <c r="G149" s="3">
        <f aca="true" t="shared" si="18" ref="G149:G155">D149/C149*100</f>
        <v>30.78661037544134</v>
      </c>
      <c r="H149" s="51">
        <f aca="true" t="shared" si="19" ref="H149:H155">B149-D149</f>
        <v>75863.79999999999</v>
      </c>
      <c r="I149" s="51">
        <f aca="true" t="shared" si="20" ref="I149:I155">C149-D149</f>
        <v>145022.40000000002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82556.9</v>
      </c>
      <c r="C150" s="64">
        <f>C8+C20+C34+C52+C59+C90+C114+C118+C46+C138+C130+C102</f>
        <v>124094.59999999998</v>
      </c>
      <c r="D150" s="64">
        <f>D8+D20+D34+D52+D59+D90+D114+D118+D46+D138+D130+D102</f>
        <v>41804.5</v>
      </c>
      <c r="E150" s="6">
        <f>D150/D149*100</f>
        <v>64.80614506952735</v>
      </c>
      <c r="F150" s="6">
        <f aca="true" t="shared" si="21" ref="F150:F161">D150/B150*100</f>
        <v>50.63719689087163</v>
      </c>
      <c r="G150" s="6">
        <f t="shared" si="18"/>
        <v>33.68760606827373</v>
      </c>
      <c r="H150" s="65">
        <f t="shared" si="19"/>
        <v>40752.399999999994</v>
      </c>
      <c r="I150" s="76">
        <f t="shared" si="20"/>
        <v>82290.09999999998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24302.1</v>
      </c>
      <c r="C151" s="65">
        <f>C11+C23+C36+C55+C61+C91+C49+C139+C108+C111+C95+C136</f>
        <v>35678.700000000004</v>
      </c>
      <c r="D151" s="65">
        <f>D11+D23+D36+D55+D61+D91+D49+D139+D108+D111+D95+D136</f>
        <v>6660.500000000001</v>
      </c>
      <c r="E151" s="6">
        <f>D151/D149*100</f>
        <v>10.325236020896957</v>
      </c>
      <c r="F151" s="6">
        <f t="shared" si="21"/>
        <v>27.407096506063265</v>
      </c>
      <c r="G151" s="6">
        <f t="shared" si="18"/>
        <v>18.668000795993127</v>
      </c>
      <c r="H151" s="65">
        <f t="shared" si="19"/>
        <v>17641.6</v>
      </c>
      <c r="I151" s="76">
        <f t="shared" si="20"/>
        <v>29018.200000000004</v>
      </c>
      <c r="K151" s="43"/>
      <c r="L151" s="98"/>
    </row>
    <row r="152" spans="1:12" ht="18.75">
      <c r="A152" s="20" t="s">
        <v>1</v>
      </c>
      <c r="B152" s="64">
        <f>B22+B10+B54+B48+B60+B35+B122</f>
        <v>3400.7</v>
      </c>
      <c r="C152" s="64">
        <f>C22+C10+C54+C48+C60+C35+C122</f>
        <v>5199.3</v>
      </c>
      <c r="D152" s="64">
        <f>D22+D10+D54+D48+D60+D35+D122</f>
        <v>1315.3</v>
      </c>
      <c r="E152" s="6">
        <f>D152/D149*100</f>
        <v>2.039003518997938</v>
      </c>
      <c r="F152" s="6">
        <f t="shared" si="21"/>
        <v>38.67733113770694</v>
      </c>
      <c r="G152" s="6">
        <f t="shared" si="18"/>
        <v>25.297636220260415</v>
      </c>
      <c r="H152" s="65">
        <f t="shared" si="19"/>
        <v>2085.3999999999996</v>
      </c>
      <c r="I152" s="76">
        <f t="shared" si="20"/>
        <v>3884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2302.8999999999996</v>
      </c>
      <c r="C153" s="64">
        <f>C12+C24+C103+C62+C38+C92+C128</f>
        <v>3418.4</v>
      </c>
      <c r="D153" s="64">
        <f>D12+D24+D103+D62+D38+D92+D128</f>
        <v>567.7</v>
      </c>
      <c r="E153" s="6">
        <f>D153/D149*100</f>
        <v>0.8800595284232721</v>
      </c>
      <c r="F153" s="6">
        <f t="shared" si="21"/>
        <v>24.651526336358508</v>
      </c>
      <c r="G153" s="6">
        <f t="shared" si="18"/>
        <v>16.60718464778844</v>
      </c>
      <c r="H153" s="65">
        <f t="shared" si="19"/>
        <v>1735.1999999999996</v>
      </c>
      <c r="I153" s="76">
        <f t="shared" si="20"/>
        <v>2850.7</v>
      </c>
      <c r="K153" s="43"/>
      <c r="L153" s="98"/>
    </row>
    <row r="154" spans="1:12" ht="18.75">
      <c r="A154" s="20" t="s">
        <v>2</v>
      </c>
      <c r="B154" s="64">
        <f>B9+B21+B47+B53+B121</f>
        <v>2042.7</v>
      </c>
      <c r="C154" s="64">
        <f>C9+C21+C47+C53+C121</f>
        <v>3452.9</v>
      </c>
      <c r="D154" s="64">
        <f>D9+D21+D47+D53+D121</f>
        <v>878</v>
      </c>
      <c r="E154" s="6">
        <f>D154/D149*100</f>
        <v>1.3610925946021362</v>
      </c>
      <c r="F154" s="6">
        <f t="shared" si="21"/>
        <v>42.98232731189112</v>
      </c>
      <c r="G154" s="6">
        <f t="shared" si="18"/>
        <v>25.42790118451157</v>
      </c>
      <c r="H154" s="65">
        <f t="shared" si="19"/>
        <v>1164.7</v>
      </c>
      <c r="I154" s="76">
        <f t="shared" si="20"/>
        <v>2574.9</v>
      </c>
      <c r="K154" s="43"/>
      <c r="L154" s="44"/>
    </row>
    <row r="155" spans="1:12" ht="19.5" thickBot="1">
      <c r="A155" s="20" t="s">
        <v>34</v>
      </c>
      <c r="B155" s="64">
        <f>B149-B150-B151-B152-B153-B154</f>
        <v>25765.499999999996</v>
      </c>
      <c r="C155" s="64">
        <f>C149-C150-C151-C152-C153-C154</f>
        <v>37685.50000000004</v>
      </c>
      <c r="D155" s="64">
        <f>D149-D150-D151-D152-D153-D154</f>
        <v>13281</v>
      </c>
      <c r="E155" s="6">
        <f>D155/D149*100</f>
        <v>20.58846326755236</v>
      </c>
      <c r="F155" s="6">
        <f t="shared" si="21"/>
        <v>51.54567153752111</v>
      </c>
      <c r="G155" s="40">
        <f t="shared" si="18"/>
        <v>35.2416711997983</v>
      </c>
      <c r="H155" s="65">
        <f t="shared" si="19"/>
        <v>12484.499999999996</v>
      </c>
      <c r="I155" s="65">
        <f t="shared" si="20"/>
        <v>24404.500000000036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 hidden="1">
      <c r="A157" s="29" t="s">
        <v>21</v>
      </c>
      <c r="B157" s="84"/>
      <c r="C157" s="70"/>
      <c r="D157" s="70"/>
      <c r="E157" s="14"/>
      <c r="F157" s="6" t="e">
        <f t="shared" si="21"/>
        <v>#DIV/0!</v>
      </c>
      <c r="G157" s="6" t="e">
        <f aca="true" t="shared" si="22" ref="G157:G166">D157/C157*100</f>
        <v>#DIV/0!</v>
      </c>
      <c r="H157" s="6">
        <f>B157-D157</f>
        <v>0</v>
      </c>
      <c r="I157" s="6">
        <f aca="true" t="shared" si="23" ref="I157:I166">C157-D157</f>
        <v>0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 hidden="1">
      <c r="A159" s="20" t="s">
        <v>60</v>
      </c>
      <c r="B159" s="85"/>
      <c r="C159" s="64"/>
      <c r="D159" s="64"/>
      <c r="E159" s="6"/>
      <c r="F159" s="6" t="e">
        <f t="shared" si="21"/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 hidden="1">
      <c r="A161" s="20" t="s">
        <v>13</v>
      </c>
      <c r="B161" s="85"/>
      <c r="C161" s="64"/>
      <c r="D161" s="64"/>
      <c r="E161" s="17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8.75" hidden="1">
      <c r="A163" s="20" t="s">
        <v>52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13" t="s">
        <v>20</v>
      </c>
      <c r="B166" s="87">
        <f>B149+B157+B161+B162+B158+B165+B164+B159+B163+B160</f>
        <v>140370.8</v>
      </c>
      <c r="C166" s="87">
        <f>C149+C157+C161+C162+C158+C165+C164+C159+C163+C160</f>
        <v>209529.40000000002</v>
      </c>
      <c r="D166" s="87">
        <f>D149+D157+D161+D162+D158+D165+D164+D159+D163+D160</f>
        <v>64507</v>
      </c>
      <c r="E166" s="22"/>
      <c r="F166" s="3">
        <f>D166/B166*100</f>
        <v>45.9547142283153</v>
      </c>
      <c r="G166" s="3">
        <f t="shared" si="22"/>
        <v>30.78661037544134</v>
      </c>
      <c r="H166" s="3">
        <f>B166-D166</f>
        <v>75863.79999999999</v>
      </c>
      <c r="I166" s="3">
        <f t="shared" si="23"/>
        <v>145022.40000000002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64507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64507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2016-01-29T08:50:10Z</cp:lastPrinted>
  <dcterms:created xsi:type="dcterms:W3CDTF">2000-06-20T04:48:00Z</dcterms:created>
  <dcterms:modified xsi:type="dcterms:W3CDTF">2016-02-09T06:15:59Z</dcterms:modified>
  <cp:category/>
  <cp:version/>
  <cp:contentType/>
  <cp:contentStatus/>
</cp:coreProperties>
</file>